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80" windowHeight="5976" activeTab="0"/>
  </bookViews>
  <sheets>
    <sheet name="2018 Millage Rate" sheetId="1" r:id="rId1"/>
    <sheet name="Sheet3" sheetId="2" state="hidden" r:id="rId2"/>
    <sheet name="Breakdown" sheetId="3" r:id="rId3"/>
  </sheets>
  <definedNames>
    <definedName name="_xlnm.Print_Area" localSheetId="0">'2018 Millage Rate'!$A$1:$F$75</definedName>
  </definedNames>
  <calcPr fullCalcOnLoad="1"/>
</workbook>
</file>

<file path=xl/comments1.xml><?xml version="1.0" encoding="utf-8"?>
<comments xmlns="http://schemas.openxmlformats.org/spreadsheetml/2006/main">
  <authors>
    <author>jfunk</author>
  </authors>
  <commentList>
    <comment ref="A24" authorId="0">
      <text>
        <r>
          <rPr>
            <b/>
            <sz val="8"/>
            <rFont val="Tahoma"/>
            <family val="2"/>
          </rPr>
          <t>jfunk: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<sst xmlns="http://schemas.openxmlformats.org/spreadsheetml/2006/main" count="133" uniqueCount="127">
  <si>
    <t>General Fund</t>
  </si>
  <si>
    <t>Property Taxes</t>
  </si>
  <si>
    <t>Other Taxes</t>
  </si>
  <si>
    <t>Charges for Services</t>
  </si>
  <si>
    <t>Fines &amp; Forfeitures</t>
  </si>
  <si>
    <t>Miscellaneous</t>
  </si>
  <si>
    <t>Licenses &amp; Permits</t>
  </si>
  <si>
    <t>Total Revenue Sources</t>
  </si>
  <si>
    <t>Judicial Services</t>
  </si>
  <si>
    <t>Tax Administration</t>
  </si>
  <si>
    <t>General Admin Services</t>
  </si>
  <si>
    <t>Law Enforcement</t>
  </si>
  <si>
    <t xml:space="preserve">  Senior Services</t>
  </si>
  <si>
    <t xml:space="preserve">  Animal Shelter</t>
  </si>
  <si>
    <t>TOTAL GENERAL FUND</t>
  </si>
  <si>
    <t>Use of Reserves</t>
  </si>
  <si>
    <t>TOTAL BUDGET</t>
  </si>
  <si>
    <t>% OF REVENUE BUDGET</t>
  </si>
  <si>
    <t>Fire Fund</t>
  </si>
  <si>
    <t>Parks Bond</t>
  </si>
  <si>
    <t>DEPT % OF TOTAL</t>
  </si>
  <si>
    <t>CHEROKEE COUNTY BOARD OF COMMISSIONERS</t>
  </si>
  <si>
    <t>PROPERTY TAX ANALYSIS</t>
  </si>
  <si>
    <t>ANSWER 1:</t>
  </si>
  <si>
    <t>ANSWER 2:</t>
  </si>
  <si>
    <t>$ FUNDED BY PROP TAXES</t>
  </si>
  <si>
    <t>Libraries</t>
  </si>
  <si>
    <t>Elections</t>
  </si>
  <si>
    <t>Information Technology</t>
  </si>
  <si>
    <t>YOUR TAX DOLLARS GO TO:</t>
  </si>
  <si>
    <t xml:space="preserve">  Parks and Recreation</t>
  </si>
  <si>
    <t xml:space="preserve">  Emergency Medical Services</t>
  </si>
  <si>
    <t>Homestead Exemption? (Enter 1 for Yes)</t>
  </si>
  <si>
    <t>INPUT THE YOUR INFO IN THE YELLOW CELLS:</t>
  </si>
  <si>
    <t>Coroner</t>
  </si>
  <si>
    <t>Property Management</t>
  </si>
  <si>
    <t>RRDA Debt Service</t>
  </si>
  <si>
    <t>Youth Services &amp; Other Community</t>
  </si>
  <si>
    <t>Allocated Costs (WC, Utilities)</t>
  </si>
  <si>
    <t xml:space="preserve">  Transportation</t>
  </si>
  <si>
    <t>Transfers to Other Funds:</t>
  </si>
  <si>
    <t>Summary of Total Tax Bill</t>
  </si>
  <si>
    <t>Total County Portion</t>
  </si>
  <si>
    <t>School Operations</t>
  </si>
  <si>
    <t>School Bond</t>
  </si>
  <si>
    <t>Total County Schools</t>
  </si>
  <si>
    <t>State</t>
  </si>
  <si>
    <t>QUESTION 2: AND HOW DOES THE COUNTY SPEND MY TAX DOLLARS?</t>
  </si>
  <si>
    <t>ANSWER 3:</t>
  </si>
  <si>
    <t>Change</t>
  </si>
  <si>
    <r>
      <t xml:space="preserve">QUESTION 1: HOW MUCH DO I PAY IN </t>
    </r>
    <r>
      <rPr>
        <b/>
        <u val="single"/>
        <sz val="14"/>
        <color indexed="8"/>
        <rFont val="Calibri"/>
        <family val="2"/>
      </rPr>
      <t>COUNTY</t>
    </r>
    <r>
      <rPr>
        <b/>
        <sz val="14"/>
        <color indexed="8"/>
        <rFont val="Calibri"/>
        <family val="2"/>
      </rPr>
      <t xml:space="preserve"> PROPERTY TAXES?</t>
    </r>
  </si>
  <si>
    <t>Step 1 - Determine the Amount of Property Taxes Funding Total General Fund Operations</t>
  </si>
  <si>
    <t>Total Tax Bill</t>
  </si>
  <si>
    <t>Health &amp; Human Services</t>
  </si>
  <si>
    <t>2013 Property Fair Market Value</t>
  </si>
  <si>
    <t>Total County Taxes Assessed</t>
  </si>
  <si>
    <t>BOC</t>
  </si>
  <si>
    <t>County Clerk</t>
  </si>
  <si>
    <t>COUNTY MANAGER</t>
  </si>
  <si>
    <t>ELECTIONS</t>
  </si>
  <si>
    <t>FINANCE</t>
  </si>
  <si>
    <t>PURCHASING</t>
  </si>
  <si>
    <t>COUNTY ATTORNEY</t>
  </si>
  <si>
    <t>INFORMATION TECHNOLOGY</t>
  </si>
  <si>
    <t>HUMAN RESOURCES</t>
  </si>
  <si>
    <t>TAX COMMISSIONER</t>
  </si>
  <si>
    <t>TAX ASSESSOR</t>
  </si>
  <si>
    <t>PROPERTY MANAGEMENT</t>
  </si>
  <si>
    <t>GENERAL ADMINISTRATION</t>
  </si>
  <si>
    <t xml:space="preserve">CORONER </t>
  </si>
  <si>
    <t>EMA</t>
  </si>
  <si>
    <t>NORTHWEST HEALTH DISTRICT</t>
  </si>
  <si>
    <t>ENVIRONMENTAL HEALTH</t>
  </si>
  <si>
    <t>DFACS</t>
  </si>
  <si>
    <t>CHEROKEE DAY TRAINING CTR</t>
  </si>
  <si>
    <t>CHILDREN &amp; YOUTH SERVICES</t>
  </si>
  <si>
    <t>COUNTY EXTENSION SERVICES</t>
  </si>
  <si>
    <t>LIBRARY</t>
  </si>
  <si>
    <t>CHEROKEE COUNTY ARTS</t>
  </si>
  <si>
    <t>HISTORICAL SOCIETY</t>
  </si>
  <si>
    <t>FLEXIBLE BENEFITS PLAN</t>
  </si>
  <si>
    <t>ECONOMIC DEVELOPMENT FUND</t>
  </si>
  <si>
    <t>GF - UTILITIES, CUSTODIAL, WC</t>
  </si>
  <si>
    <t>JUDICIAL SERVICES</t>
  </si>
  <si>
    <t>SO</t>
  </si>
  <si>
    <t>EMS transfer</t>
  </si>
  <si>
    <t>Parks Transfer</t>
  </si>
  <si>
    <t>Transportation Transfer</t>
  </si>
  <si>
    <t>AS Shelter</t>
  </si>
  <si>
    <t>Senior Svc Transfer</t>
  </si>
  <si>
    <t>RRDA Transfer</t>
  </si>
  <si>
    <t>Grant Match</t>
  </si>
  <si>
    <t>DB Addtl</t>
  </si>
  <si>
    <t>TOTALS</t>
  </si>
  <si>
    <t>w/3%</t>
  </si>
  <si>
    <t>** Note the average home in Cherokee for 2017 is valued at $240,000</t>
  </si>
  <si>
    <t>ESTIMATED 2018 BUDGET FOR GENERAL FUND OPERATIONS</t>
  </si>
  <si>
    <t>2018 ZBB</t>
  </si>
  <si>
    <t>DEVELOPMENT SVCS CENTER</t>
  </si>
  <si>
    <t>GIS/MAPPING</t>
  </si>
  <si>
    <t>ANIMAL CONTROL</t>
  </si>
  <si>
    <t>ROADS AND BRIDGES</t>
  </si>
  <si>
    <t>STORMWATER ENGINEERING</t>
  </si>
  <si>
    <t>ENGINEERING</t>
  </si>
  <si>
    <t>RECYCLABLES COLLECTION</t>
  </si>
  <si>
    <t>CONSERVATION ADMINISTRATION</t>
  </si>
  <si>
    <t>BUILDING INSPECTIONS</t>
  </si>
  <si>
    <t>PLANNING AND LAND USE</t>
  </si>
  <si>
    <t>CODE ENFORCEMENT</t>
  </si>
  <si>
    <t>Community Development</t>
  </si>
  <si>
    <t>Public Works</t>
  </si>
  <si>
    <t>ADMIN SERVICES AGENCY</t>
  </si>
  <si>
    <t>CAPITOL PROJECTS</t>
  </si>
  <si>
    <r>
      <t xml:space="preserve">2018 PROPERTY TAX MILLAGE RATE &amp; 2019 </t>
    </r>
    <r>
      <rPr>
        <b/>
        <i/>
        <sz val="16"/>
        <color indexed="8"/>
        <rFont val="Calibri"/>
        <family val="2"/>
      </rPr>
      <t>ESTIMATED</t>
    </r>
    <r>
      <rPr>
        <b/>
        <sz val="16"/>
        <color indexed="8"/>
        <rFont val="Calibri"/>
        <family val="2"/>
      </rPr>
      <t xml:space="preserve"> BUDGET</t>
    </r>
  </si>
  <si>
    <r>
      <t xml:space="preserve">QUESTION 3: CAN I SEE MY </t>
    </r>
    <r>
      <rPr>
        <b/>
        <u val="single"/>
        <sz val="14"/>
        <color indexed="8"/>
        <rFont val="Calibri"/>
        <family val="2"/>
      </rPr>
      <t>TOTAL</t>
    </r>
    <r>
      <rPr>
        <b/>
        <sz val="14"/>
        <color indexed="8"/>
        <rFont val="Calibri"/>
        <family val="2"/>
      </rPr>
      <t xml:space="preserve"> 2018 ESTIMATED TAX BILL?</t>
    </r>
  </si>
  <si>
    <t>2018 Property Fair Market Value</t>
  </si>
  <si>
    <t xml:space="preserve">                 If you enter the Fair Market Value of your home (from your 2018 Property Value Assessment ) and whether you are qualified for the homestead exemption -  the spreadsheet will automatically calculate your 2017 Taxes.</t>
  </si>
  <si>
    <t>2018 - County Portion Only</t>
  </si>
  <si>
    <t>2018 Assessed Value</t>
  </si>
  <si>
    <t>2017 Rates</t>
  </si>
  <si>
    <t>2018 Tax Bill at 2017 Rates</t>
  </si>
  <si>
    <t>2018 Proposed Rates</t>
  </si>
  <si>
    <t>2018 Tax Bill At 2018 Proposed  Rates</t>
  </si>
  <si>
    <t>2018 PRELIM ESTIMATE OF REVENUES</t>
  </si>
  <si>
    <t>would levy $53,255,316 in total property taxes.  This total would be spent on the following:</t>
  </si>
  <si>
    <t>Based on the Estimated Ending Tax Digest and Proposed Millage Rate of 5.364, the County</t>
  </si>
  <si>
    <t>From 2018 Budget Consolidated File 5.18.2018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</si>
</sst>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&quot;$&quot;#,##0.0_);[Red]\(&quot;$&quot;#,##0.0\)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.000000_);_(* \(#,##0.000000\);_(* &quot;-&quot;??_);_(@_)"/>
    <numFmt numFmtId="179" formatCode="0.000%"/>
    <numFmt numFmtId="180" formatCode="&quot;$&quot;#,##0.000"/>
    <numFmt numFmtId="181" formatCode="_(* #,##0.0_);_(* \(#,##0.0\);_(* &quot;-&quot;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4"/>
      <color theme="1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theme="6" tint="-0.499969989061355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0" fillId="0" borderId="0" xfId="59" applyNumberFormat="1" applyFont="1" applyBorder="1" applyAlignment="1">
      <alignment/>
    </xf>
    <xf numFmtId="8" fontId="50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165" fontId="50" fillId="0" borderId="11" xfId="0" applyNumberFormat="1" applyFont="1" applyBorder="1" applyAlignment="1">
      <alignment/>
    </xf>
    <xf numFmtId="8" fontId="50" fillId="0" borderId="11" xfId="0" applyNumberFormat="1" applyFont="1" applyBorder="1" applyAlignment="1">
      <alignment/>
    </xf>
    <xf numFmtId="8" fontId="50" fillId="0" borderId="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50" fillId="0" borderId="11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164" fontId="50" fillId="0" borderId="11" xfId="59" applyNumberFormat="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Border="1" applyAlignment="1" quotePrefix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64" fontId="0" fillId="4" borderId="0" xfId="59" applyNumberFormat="1" applyFont="1" applyFill="1" applyBorder="1" applyAlignment="1">
      <alignment/>
    </xf>
    <xf numFmtId="0" fontId="50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9" applyFont="1" applyBorder="1" applyAlignment="1">
      <alignment/>
    </xf>
    <xf numFmtId="165" fontId="0" fillId="0" borderId="0" xfId="42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5" fontId="0" fillId="0" borderId="0" xfId="42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165" fontId="0" fillId="0" borderId="11" xfId="42" applyNumberFormat="1" applyFont="1" applyBorder="1" applyAlignment="1">
      <alignment/>
    </xf>
    <xf numFmtId="9" fontId="50" fillId="0" borderId="0" xfId="0" applyNumberFormat="1" applyFont="1" applyAlignment="1">
      <alignment horizontal="center"/>
    </xf>
    <xf numFmtId="177" fontId="50" fillId="0" borderId="11" xfId="0" applyNumberFormat="1" applyFont="1" applyBorder="1" applyAlignment="1">
      <alignment/>
    </xf>
    <xf numFmtId="0" fontId="50" fillId="0" borderId="10" xfId="0" applyFont="1" applyBorder="1" applyAlignment="1" quotePrefix="1">
      <alignment horizontal="center" wrapText="1"/>
    </xf>
    <xf numFmtId="168" fontId="50" fillId="0" borderId="11" xfId="44" applyNumberFormat="1" applyFont="1" applyBorder="1" applyAlignment="1">
      <alignment/>
    </xf>
    <xf numFmtId="10" fontId="0" fillId="0" borderId="0" xfId="59" applyNumberFormat="1" applyFont="1" applyBorder="1" applyAlignment="1">
      <alignment horizontal="center"/>
    </xf>
    <xf numFmtId="9" fontId="50" fillId="0" borderId="11" xfId="59" applyFont="1" applyBorder="1" applyAlignment="1">
      <alignment horizontal="center"/>
    </xf>
    <xf numFmtId="8" fontId="0" fillId="0" borderId="0" xfId="44" applyNumberFormat="1" applyFont="1" applyBorder="1" applyAlignment="1">
      <alignment horizontal="right"/>
    </xf>
    <xf numFmtId="8" fontId="50" fillId="0" borderId="11" xfId="44" applyNumberFormat="1" applyFont="1" applyBorder="1" applyAlignment="1">
      <alignment horizontal="right"/>
    </xf>
    <xf numFmtId="0" fontId="5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6" xfId="0" applyFont="1" applyBorder="1" applyAlignment="1">
      <alignment/>
    </xf>
    <xf numFmtId="0" fontId="50" fillId="0" borderId="18" xfId="0" applyFont="1" applyBorder="1" applyAlignment="1">
      <alignment horizontal="right" wrapText="1"/>
    </xf>
    <xf numFmtId="177" fontId="0" fillId="0" borderId="0" xfId="0" applyNumberFormat="1" applyBorder="1" applyAlignment="1">
      <alignment/>
    </xf>
    <xf numFmtId="168" fontId="0" fillId="0" borderId="0" xfId="42" applyNumberFormat="1" applyFont="1" applyBorder="1" applyAlignment="1">
      <alignment/>
    </xf>
    <xf numFmtId="8" fontId="0" fillId="0" borderId="17" xfId="42" applyNumberFormat="1" applyFont="1" applyBorder="1" applyAlignment="1">
      <alignment/>
    </xf>
    <xf numFmtId="8" fontId="50" fillId="0" borderId="19" xfId="0" applyNumberFormat="1" applyFont="1" applyBorder="1" applyAlignment="1">
      <alignment/>
    </xf>
    <xf numFmtId="164" fontId="0" fillId="0" borderId="17" xfId="59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6" fontId="0" fillId="0" borderId="15" xfId="42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50" fillId="0" borderId="10" xfId="0" applyFont="1" applyFill="1" applyBorder="1" applyAlignment="1">
      <alignment horizontal="right" wrapText="1"/>
    </xf>
    <xf numFmtId="170" fontId="0" fillId="0" borderId="0" xfId="42" applyNumberFormat="1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8" fontId="50" fillId="0" borderId="10" xfId="0" applyNumberFormat="1" applyFont="1" applyFill="1" applyBorder="1" applyAlignment="1">
      <alignment horizontal="right" wrapText="1"/>
    </xf>
    <xf numFmtId="165" fontId="50" fillId="0" borderId="11" xfId="42" applyNumberFormat="1" applyFont="1" applyFill="1" applyBorder="1" applyAlignment="1">
      <alignment/>
    </xf>
    <xf numFmtId="165" fontId="50" fillId="0" borderId="1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50" fillId="0" borderId="11" xfId="0" applyNumberFormat="1" applyFont="1" applyFill="1" applyBorder="1" applyAlignment="1">
      <alignment/>
    </xf>
    <xf numFmtId="168" fontId="50" fillId="0" borderId="11" xfId="0" applyNumberFormat="1" applyFont="1" applyFill="1" applyBorder="1" applyAlignment="1">
      <alignment/>
    </xf>
    <xf numFmtId="8" fontId="50" fillId="0" borderId="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0" xfId="42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971550</xdr:colOff>
      <xdr:row>2</xdr:row>
      <xdr:rowOff>314325</xdr:rowOff>
    </xdr:to>
    <xdr:pic>
      <xdr:nvPicPr>
        <xdr:cNvPr id="1" name="Picture 1" descr="cherokee-county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171450</xdr:rowOff>
    </xdr:from>
    <xdr:to>
      <xdr:col>0</xdr:col>
      <xdr:colOff>933450</xdr:colOff>
      <xdr:row>10</xdr:row>
      <xdr:rowOff>9525</xdr:rowOff>
    </xdr:to>
    <xdr:pic>
      <xdr:nvPicPr>
        <xdr:cNvPr id="2" name="Picture 1" descr="C:\Documents and Settings\jfunk\Local Settings\Temporary Internet Files\Content.IE5\DDBMYTFF\MC900404263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90650"/>
          <a:ext cx="876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9</xdr:row>
      <xdr:rowOff>133350</xdr:rowOff>
    </xdr:from>
    <xdr:to>
      <xdr:col>5</xdr:col>
      <xdr:colOff>809625</xdr:colOff>
      <xdr:row>17</xdr:row>
      <xdr:rowOff>0</xdr:rowOff>
    </xdr:to>
    <xdr:sp>
      <xdr:nvSpPr>
        <xdr:cNvPr id="3" name="Left Arrow 5"/>
        <xdr:cNvSpPr>
          <a:spLocks/>
        </xdr:cNvSpPr>
      </xdr:nvSpPr>
      <xdr:spPr>
        <a:xfrm>
          <a:off x="4552950" y="2447925"/>
          <a:ext cx="2714625" cy="1314450"/>
        </a:xfrm>
        <a:prstGeom prst="leftArrow">
          <a:avLst>
            <a:gd name="adj" fmla="val -3092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74</xdr:row>
      <xdr:rowOff>200025</xdr:rowOff>
    </xdr:from>
    <xdr:ext cx="7943850" cy="619125"/>
    <xdr:sp>
      <xdr:nvSpPr>
        <xdr:cNvPr id="4" name="TextBox 1"/>
        <xdr:cNvSpPr txBox="1">
          <a:spLocks noChangeArrowheads="1"/>
        </xdr:cNvSpPr>
      </xdr:nvSpPr>
      <xdr:spPr>
        <a:xfrm>
          <a:off x="0" y="16363950"/>
          <a:ext cx="7943850" cy="619125"/>
        </a:xfrm>
        <a:prstGeom prst="rect">
          <a:avLst/>
        </a:prstGeom>
        <a:solidFill>
          <a:srgbClr val="95B3D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Cherokee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County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where metro meets the mountains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5.57421875" style="0" customWidth="1"/>
    <col min="2" max="2" width="37.57421875" style="0" customWidth="1"/>
    <col min="3" max="3" width="15.57421875" style="64" customWidth="1"/>
    <col min="4" max="4" width="13.421875" style="0" bestFit="1" customWidth="1"/>
    <col min="5" max="5" width="14.7109375" style="0" customWidth="1"/>
    <col min="6" max="6" width="12.140625" style="0" customWidth="1"/>
    <col min="7" max="7" width="13.140625" style="15" customWidth="1"/>
  </cols>
  <sheetData>
    <row r="1" spans="1:7" ht="29.25" customHeight="1">
      <c r="A1" s="9"/>
      <c r="B1" s="48" t="s">
        <v>21</v>
      </c>
      <c r="C1" s="67"/>
      <c r="D1" s="49"/>
      <c r="E1" s="49"/>
      <c r="F1" s="49"/>
      <c r="G1" s="50"/>
    </row>
    <row r="2" spans="1:7" ht="26.25" customHeight="1">
      <c r="A2" s="51"/>
      <c r="B2" s="14" t="s">
        <v>22</v>
      </c>
      <c r="C2" s="63"/>
      <c r="D2" s="15"/>
      <c r="E2" s="15"/>
      <c r="F2" s="15"/>
      <c r="G2" s="52"/>
    </row>
    <row r="3" spans="1:7" ht="25.5" customHeight="1">
      <c r="A3" s="51"/>
      <c r="B3" s="14" t="s">
        <v>113</v>
      </c>
      <c r="C3" s="63"/>
      <c r="D3" s="15"/>
      <c r="E3" s="15"/>
      <c r="F3" s="15"/>
      <c r="G3" s="52"/>
    </row>
    <row r="4" spans="1:7" ht="15">
      <c r="A4" s="51"/>
      <c r="B4" s="15"/>
      <c r="C4" s="63"/>
      <c r="D4" s="15"/>
      <c r="E4" s="15"/>
      <c r="F4" s="15"/>
      <c r="G4" s="52"/>
    </row>
    <row r="5" spans="1:7" ht="15">
      <c r="A5" s="51"/>
      <c r="B5" s="15"/>
      <c r="C5" s="63"/>
      <c r="D5" s="15"/>
      <c r="E5" s="15"/>
      <c r="F5" s="15"/>
      <c r="G5" s="52"/>
    </row>
    <row r="6" spans="1:7" ht="18.75">
      <c r="A6" s="51"/>
      <c r="B6" s="16" t="s">
        <v>50</v>
      </c>
      <c r="C6" s="68"/>
      <c r="D6" s="15"/>
      <c r="E6" s="15"/>
      <c r="F6" s="15"/>
      <c r="G6" s="52"/>
    </row>
    <row r="7" spans="1:7" ht="15">
      <c r="A7" s="51"/>
      <c r="B7" s="15"/>
      <c r="C7" s="68"/>
      <c r="D7" s="15"/>
      <c r="E7" s="15"/>
      <c r="F7" s="15"/>
      <c r="G7" s="52"/>
    </row>
    <row r="8" spans="1:7" ht="18.75">
      <c r="A8" s="53"/>
      <c r="B8" s="17" t="s">
        <v>47</v>
      </c>
      <c r="C8" s="69"/>
      <c r="D8" s="15"/>
      <c r="E8" s="15"/>
      <c r="F8" s="15"/>
      <c r="G8" s="52"/>
    </row>
    <row r="9" spans="1:7" ht="18.75">
      <c r="A9" s="53"/>
      <c r="B9" s="17"/>
      <c r="C9" s="69"/>
      <c r="D9" s="15"/>
      <c r="E9" s="32"/>
      <c r="F9" s="15"/>
      <c r="G9" s="52"/>
    </row>
    <row r="10" spans="1:7" ht="18.75">
      <c r="A10" s="53"/>
      <c r="B10" s="17" t="s">
        <v>114</v>
      </c>
      <c r="C10" s="69"/>
      <c r="D10" s="15"/>
      <c r="E10" s="31"/>
      <c r="F10" s="15"/>
      <c r="G10" s="52"/>
    </row>
    <row r="11" spans="1:7" ht="18.75">
      <c r="A11" s="53"/>
      <c r="B11" s="17"/>
      <c r="C11" s="69"/>
      <c r="D11" s="15"/>
      <c r="E11" s="15"/>
      <c r="F11" s="15"/>
      <c r="G11" s="52"/>
    </row>
    <row r="12" spans="1:7" ht="15.75" thickBot="1">
      <c r="A12" s="53"/>
      <c r="B12" s="8" t="s">
        <v>33</v>
      </c>
      <c r="C12" s="63"/>
      <c r="D12" s="87" t="s">
        <v>116</v>
      </c>
      <c r="E12" s="87"/>
      <c r="F12" s="88"/>
      <c r="G12" s="52"/>
    </row>
    <row r="13" spans="1:7" ht="15" hidden="1" thickBot="1">
      <c r="A13" s="53"/>
      <c r="B13" s="9" t="s">
        <v>54</v>
      </c>
      <c r="C13" s="70">
        <v>172909</v>
      </c>
      <c r="D13" s="87"/>
      <c r="E13" s="87"/>
      <c r="F13" s="88"/>
      <c r="G13" s="52"/>
    </row>
    <row r="14" spans="1:7" ht="15">
      <c r="A14" s="53"/>
      <c r="B14" s="9" t="s">
        <v>115</v>
      </c>
      <c r="C14" s="70">
        <v>256300</v>
      </c>
      <c r="D14" s="87"/>
      <c r="E14" s="87"/>
      <c r="F14" s="88"/>
      <c r="G14" s="52"/>
    </row>
    <row r="15" spans="1:7" ht="15.75" thickBot="1">
      <c r="A15" s="53"/>
      <c r="B15" s="10" t="s">
        <v>32</v>
      </c>
      <c r="C15" s="71">
        <v>1</v>
      </c>
      <c r="D15" s="87"/>
      <c r="E15" s="87"/>
      <c r="F15" s="88"/>
      <c r="G15" s="52"/>
    </row>
    <row r="16" spans="1:7" ht="15">
      <c r="A16" s="53"/>
      <c r="B16" s="30"/>
      <c r="C16" s="29"/>
      <c r="D16" s="15"/>
      <c r="E16" s="15"/>
      <c r="F16" s="15"/>
      <c r="G16" s="52"/>
    </row>
    <row r="17" spans="1:7" ht="15">
      <c r="A17" s="51"/>
      <c r="B17" s="35" t="s">
        <v>95</v>
      </c>
      <c r="C17" s="63"/>
      <c r="D17" s="15"/>
      <c r="E17" s="34"/>
      <c r="F17" s="15"/>
      <c r="G17" s="52"/>
    </row>
    <row r="18" spans="1:8" ht="75">
      <c r="A18" s="53" t="s">
        <v>23</v>
      </c>
      <c r="B18" s="19" t="s">
        <v>117</v>
      </c>
      <c r="C18" s="72" t="s">
        <v>118</v>
      </c>
      <c r="D18" s="42" t="s">
        <v>119</v>
      </c>
      <c r="E18" s="42" t="s">
        <v>120</v>
      </c>
      <c r="F18" s="33" t="s">
        <v>121</v>
      </c>
      <c r="G18" s="54" t="s">
        <v>122</v>
      </c>
      <c r="H18" s="15"/>
    </row>
    <row r="19" spans="1:8" ht="15">
      <c r="A19" s="51"/>
      <c r="B19" s="15" t="s">
        <v>0</v>
      </c>
      <c r="C19" s="73">
        <f>IF(C15=1,C20-5000,C20)</f>
        <v>97520</v>
      </c>
      <c r="D19" s="55">
        <v>5.483</v>
      </c>
      <c r="E19" s="56">
        <f>C19*D19/1000</f>
        <v>534.7021599999999</v>
      </c>
      <c r="F19" s="27">
        <v>5.364</v>
      </c>
      <c r="G19" s="57">
        <f>+C19*F19/1000</f>
        <v>523.09728</v>
      </c>
      <c r="H19" s="15"/>
    </row>
    <row r="20" spans="1:8" ht="15">
      <c r="A20" s="51"/>
      <c r="B20" s="15" t="s">
        <v>18</v>
      </c>
      <c r="C20" s="73">
        <f>C14*0.4</f>
        <v>102520</v>
      </c>
      <c r="D20" s="55">
        <v>3.298</v>
      </c>
      <c r="E20" s="26">
        <f>C20*D20/1000</f>
        <v>338.11096000000003</v>
      </c>
      <c r="F20" s="27">
        <v>3.269</v>
      </c>
      <c r="G20" s="57">
        <f>+C20*F20/1000</f>
        <v>335.13788</v>
      </c>
      <c r="H20" s="15"/>
    </row>
    <row r="21" spans="1:8" ht="15">
      <c r="A21" s="51"/>
      <c r="B21" s="15" t="s">
        <v>19</v>
      </c>
      <c r="C21" s="73">
        <f>C14*0.4</f>
        <v>102520</v>
      </c>
      <c r="D21" s="55">
        <v>0.581</v>
      </c>
      <c r="E21" s="26">
        <f>C21*D21/1000</f>
        <v>59.564119999999996</v>
      </c>
      <c r="F21" s="27">
        <v>0.503</v>
      </c>
      <c r="G21" s="57">
        <f>+C21*F21/1000</f>
        <v>51.56756</v>
      </c>
      <c r="H21" s="15"/>
    </row>
    <row r="22" spans="1:8" ht="15.75" thickBot="1">
      <c r="A22" s="51"/>
      <c r="B22" s="8" t="s">
        <v>55</v>
      </c>
      <c r="C22" s="74"/>
      <c r="D22" s="41">
        <f>SUM(D19:D21)</f>
        <v>9.361999999999998</v>
      </c>
      <c r="E22" s="43">
        <f>SUM(E19:E21)</f>
        <v>932.37724</v>
      </c>
      <c r="F22" s="41">
        <f>SUM(F19:F21)</f>
        <v>9.136</v>
      </c>
      <c r="G22" s="58">
        <f>SUM(G19:G21)</f>
        <v>909.8027199999999</v>
      </c>
      <c r="H22" s="15"/>
    </row>
    <row r="23" spans="1:7" ht="15.75" thickTop="1">
      <c r="A23" s="51"/>
      <c r="B23" s="8"/>
      <c r="C23" s="75"/>
      <c r="D23" s="8"/>
      <c r="E23" s="6"/>
      <c r="F23" s="15"/>
      <c r="G23" s="52"/>
    </row>
    <row r="24" spans="1:7" ht="15">
      <c r="A24" s="51"/>
      <c r="B24" s="8"/>
      <c r="C24" s="63"/>
      <c r="D24" s="15"/>
      <c r="E24" s="15"/>
      <c r="F24" s="15"/>
      <c r="G24" s="52"/>
    </row>
    <row r="25" spans="1:7" ht="15.75">
      <c r="A25" s="51"/>
      <c r="B25" s="20" t="s">
        <v>51</v>
      </c>
      <c r="C25" s="63"/>
      <c r="D25" s="15"/>
      <c r="E25" s="15"/>
      <c r="F25" s="15"/>
      <c r="G25" s="52"/>
    </row>
    <row r="26" spans="1:7" ht="45">
      <c r="A26" s="51"/>
      <c r="B26" s="8" t="s">
        <v>123</v>
      </c>
      <c r="C26" s="76" t="s">
        <v>16</v>
      </c>
      <c r="D26" s="2" t="s">
        <v>17</v>
      </c>
      <c r="E26" s="21"/>
      <c r="F26" s="15"/>
      <c r="G26" s="52"/>
    </row>
    <row r="27" spans="1:7" ht="14.25">
      <c r="A27" s="51"/>
      <c r="B27" s="15" t="s">
        <v>1</v>
      </c>
      <c r="C27" s="29">
        <v>53255316</v>
      </c>
      <c r="D27" s="22">
        <f aca="true" t="shared" si="0" ref="D27:D34">+C27/C$34</f>
        <v>0.583000081239657</v>
      </c>
      <c r="E27" s="1"/>
      <c r="F27" s="15"/>
      <c r="G27" s="52"/>
    </row>
    <row r="28" spans="1:7" ht="14.25">
      <c r="A28" s="51"/>
      <c r="B28" s="15" t="s">
        <v>2</v>
      </c>
      <c r="C28" s="29">
        <v>20885000</v>
      </c>
      <c r="D28" s="1">
        <f t="shared" si="0"/>
        <v>0.22863363906600864</v>
      </c>
      <c r="E28" s="1"/>
      <c r="F28" s="25"/>
      <c r="G28" s="52"/>
    </row>
    <row r="29" spans="1:7" ht="14.25">
      <c r="A29" s="51"/>
      <c r="B29" s="15" t="s">
        <v>6</v>
      </c>
      <c r="C29" s="29">
        <v>2970000</v>
      </c>
      <c r="D29" s="1">
        <f t="shared" si="0"/>
        <v>0.032513378406801324</v>
      </c>
      <c r="E29" s="1"/>
      <c r="F29" s="15"/>
      <c r="G29" s="52"/>
    </row>
    <row r="30" spans="1:7" ht="14.25">
      <c r="A30" s="51"/>
      <c r="B30" s="15" t="s">
        <v>3</v>
      </c>
      <c r="C30" s="29">
        <v>6948500</v>
      </c>
      <c r="D30" s="1">
        <f t="shared" si="0"/>
        <v>0.07606707402682121</v>
      </c>
      <c r="E30" s="1"/>
      <c r="F30" s="15"/>
      <c r="G30" s="52"/>
    </row>
    <row r="31" spans="1:7" ht="14.25">
      <c r="A31" s="51"/>
      <c r="B31" s="15" t="s">
        <v>4</v>
      </c>
      <c r="C31" s="29">
        <v>4218000</v>
      </c>
      <c r="D31" s="1">
        <f t="shared" si="0"/>
        <v>0.046175565696931986</v>
      </c>
      <c r="E31" s="1"/>
      <c r="F31" s="15"/>
      <c r="G31" s="52"/>
    </row>
    <row r="32" spans="1:7" ht="14.25">
      <c r="A32" s="51"/>
      <c r="B32" s="15" t="s">
        <v>5</v>
      </c>
      <c r="C32" s="29">
        <f>44000+426703+936947+1162547</f>
        <v>2570197</v>
      </c>
      <c r="D32" s="1">
        <f t="shared" si="0"/>
        <v>0.028136628835362137</v>
      </c>
      <c r="E32" s="1"/>
      <c r="F32" s="15"/>
      <c r="G32" s="52"/>
    </row>
    <row r="33" spans="1:7" ht="14.25">
      <c r="A33" s="51"/>
      <c r="B33" s="15" t="s">
        <v>15</v>
      </c>
      <c r="C33" s="29">
        <v>500000</v>
      </c>
      <c r="D33" s="1">
        <f t="shared" si="0"/>
        <v>0.0054736327284177315</v>
      </c>
      <c r="E33" s="1"/>
      <c r="F33" s="15"/>
      <c r="G33" s="52"/>
    </row>
    <row r="34" spans="1:7" ht="15" thickBot="1">
      <c r="A34" s="51"/>
      <c r="B34" s="8" t="s">
        <v>7</v>
      </c>
      <c r="C34" s="77">
        <f>SUM(C27:C33)</f>
        <v>91347013</v>
      </c>
      <c r="D34" s="13">
        <f t="shared" si="0"/>
        <v>1</v>
      </c>
      <c r="E34" s="1"/>
      <c r="F34" s="15"/>
      <c r="G34" s="52"/>
    </row>
    <row r="35" spans="1:7" ht="15" thickTop="1">
      <c r="A35" s="51"/>
      <c r="B35" s="15"/>
      <c r="C35" s="29"/>
      <c r="D35" s="15"/>
      <c r="E35" s="15"/>
      <c r="F35" s="15"/>
      <c r="G35" s="52"/>
    </row>
    <row r="36" spans="1:7" ht="14.25">
      <c r="A36" s="51"/>
      <c r="B36" s="15"/>
      <c r="C36" s="63"/>
      <c r="D36" s="15"/>
      <c r="E36" s="15"/>
      <c r="F36" s="15"/>
      <c r="G36" s="52"/>
    </row>
    <row r="37" spans="1:7" ht="15">
      <c r="A37" s="53" t="s">
        <v>24</v>
      </c>
      <c r="B37" s="20" t="s">
        <v>125</v>
      </c>
      <c r="C37" s="63"/>
      <c r="D37" s="15"/>
      <c r="E37" s="15"/>
      <c r="F37" s="15"/>
      <c r="G37" s="52"/>
    </row>
    <row r="38" spans="1:7" ht="15">
      <c r="A38" s="51"/>
      <c r="B38" s="20" t="s">
        <v>124</v>
      </c>
      <c r="C38" s="63"/>
      <c r="D38" s="15"/>
      <c r="E38" s="15"/>
      <c r="F38" s="15"/>
      <c r="G38" s="52"/>
    </row>
    <row r="39" spans="1:7" ht="14.25">
      <c r="A39" s="51"/>
      <c r="B39" s="8"/>
      <c r="C39" s="63"/>
      <c r="D39" s="15"/>
      <c r="E39" s="15"/>
      <c r="F39" s="15"/>
      <c r="G39" s="52"/>
    </row>
    <row r="40" spans="1:7" ht="42.75">
      <c r="A40" s="51"/>
      <c r="B40" s="23" t="s">
        <v>96</v>
      </c>
      <c r="C40" s="72" t="s">
        <v>16</v>
      </c>
      <c r="D40" s="3" t="s">
        <v>25</v>
      </c>
      <c r="E40" s="33" t="s">
        <v>20</v>
      </c>
      <c r="F40" s="33" t="s">
        <v>29</v>
      </c>
      <c r="G40" s="52"/>
    </row>
    <row r="41" spans="1:7" ht="14.25">
      <c r="A41" s="51"/>
      <c r="B41" s="15" t="s">
        <v>10</v>
      </c>
      <c r="C41" s="29">
        <f>Breakdown!H4+Breakdown!H5+Breakdown!H6+Breakdown!H7+Breakdown!H10+Breakdown!H11+Breakdown!H12+Breakdown!H14+Breakdown!H18+Breakdown!H41+Breakdown!H8</f>
        <v>3960972</v>
      </c>
      <c r="D41" s="32">
        <f aca="true" t="shared" si="1" ref="D41:D54">+C41/C$62*C$27</f>
        <v>2333692.272044261</v>
      </c>
      <c r="E41" s="44">
        <f aca="true" t="shared" si="2" ref="E41:E54">+D41/D$62</f>
        <v>0.04382083230985357</v>
      </c>
      <c r="F41" s="46">
        <f aca="true" t="shared" si="3" ref="F41:F61">+E41*$G$19</f>
        <v>22.922558188620517</v>
      </c>
      <c r="G41" s="52"/>
    </row>
    <row r="42" spans="1:7" ht="14.25">
      <c r="A42" s="51"/>
      <c r="B42" s="15" t="s">
        <v>9</v>
      </c>
      <c r="C42" s="29">
        <f>Breakdown!H15+Breakdown!H16</f>
        <v>4687881</v>
      </c>
      <c r="D42" s="32">
        <f t="shared" si="1"/>
        <v>2761966.4218689557</v>
      </c>
      <c r="E42" s="44">
        <f t="shared" si="2"/>
        <v>0.05186273651758928</v>
      </c>
      <c r="F42" s="46">
        <f t="shared" si="3"/>
        <v>27.129256405707622</v>
      </c>
      <c r="G42" s="52"/>
    </row>
    <row r="43" spans="1:7" s="28" customFormat="1" ht="14.25">
      <c r="A43" s="51"/>
      <c r="B43" s="15" t="s">
        <v>109</v>
      </c>
      <c r="C43" s="29">
        <f>Breakdown!H21+Breakdown!H22+Breakdown!H29+Breakdown!H30+Breakdown!H42</f>
        <v>3527298</v>
      </c>
      <c r="D43" s="32">
        <f t="shared" si="1"/>
        <v>2078183.8608798995</v>
      </c>
      <c r="E43" s="44">
        <f t="shared" si="2"/>
        <v>0.03902303125719694</v>
      </c>
      <c r="F43" s="46">
        <f t="shared" si="3"/>
        <v>20.412841507994695</v>
      </c>
      <c r="G43" s="52"/>
    </row>
    <row r="44" spans="1:7" ht="14.25">
      <c r="A44" s="51"/>
      <c r="B44" s="15" t="s">
        <v>53</v>
      </c>
      <c r="C44" s="29">
        <f>Breakdown!H32+Breakdown!H33</f>
        <v>209130</v>
      </c>
      <c r="D44" s="32">
        <f t="shared" si="1"/>
        <v>123213.45994180627</v>
      </c>
      <c r="E44" s="44">
        <f t="shared" si="2"/>
        <v>0.002313636819689631</v>
      </c>
      <c r="F44" s="46">
        <f t="shared" si="3"/>
        <v>1.2102571272874962</v>
      </c>
      <c r="G44" s="52"/>
    </row>
    <row r="45" spans="1:7" ht="14.25">
      <c r="A45" s="51"/>
      <c r="B45" s="18" t="s">
        <v>27</v>
      </c>
      <c r="C45" s="29">
        <f>Breakdown!H9</f>
        <v>773263</v>
      </c>
      <c r="D45" s="32">
        <f t="shared" si="1"/>
        <v>455584.61088787334</v>
      </c>
      <c r="E45" s="44">
        <f t="shared" si="2"/>
        <v>0.008554725520507163</v>
      </c>
      <c r="F45" s="46">
        <f t="shared" si="3"/>
        <v>4.47495365092388</v>
      </c>
      <c r="G45" s="52"/>
    </row>
    <row r="46" spans="1:7" ht="14.25">
      <c r="A46" s="51"/>
      <c r="B46" s="15" t="s">
        <v>28</v>
      </c>
      <c r="C46" s="29">
        <f>Breakdown!H13</f>
        <v>2726261</v>
      </c>
      <c r="D46" s="32">
        <f t="shared" si="1"/>
        <v>1606235.597544153</v>
      </c>
      <c r="E46" s="44">
        <f t="shared" si="2"/>
        <v>0.03016103777403468</v>
      </c>
      <c r="F46" s="46">
        <f t="shared" si="3"/>
        <v>15.777156821574794</v>
      </c>
      <c r="G46" s="52"/>
    </row>
    <row r="47" spans="1:7" ht="14.25">
      <c r="A47" s="51"/>
      <c r="B47" s="18" t="s">
        <v>26</v>
      </c>
      <c r="C47" s="29">
        <f>Breakdown!H38</f>
        <v>2254116</v>
      </c>
      <c r="D47" s="32">
        <f t="shared" si="1"/>
        <v>1328061.1651613093</v>
      </c>
      <c r="E47" s="44">
        <f t="shared" si="2"/>
        <v>0.024937626229864257</v>
      </c>
      <c r="F47" s="46">
        <f t="shared" si="3"/>
        <v>13.044804450498647</v>
      </c>
      <c r="G47" s="52"/>
    </row>
    <row r="48" spans="1:7" ht="14.25">
      <c r="A48" s="51"/>
      <c r="B48" s="15" t="s">
        <v>8</v>
      </c>
      <c r="C48" s="29">
        <f>Breakdown!H44</f>
        <v>15618960</v>
      </c>
      <c r="D48" s="32">
        <f t="shared" si="1"/>
        <v>9202247.89505415</v>
      </c>
      <c r="E48" s="44">
        <f t="shared" si="2"/>
        <v>0.17279491675636952</v>
      </c>
      <c r="F48" s="46">
        <f t="shared" si="3"/>
        <v>90.38855095308331</v>
      </c>
      <c r="G48" s="52"/>
    </row>
    <row r="49" spans="1:7" ht="14.25">
      <c r="A49" s="51"/>
      <c r="B49" s="15" t="s">
        <v>11</v>
      </c>
      <c r="C49" s="29">
        <f>Breakdown!H45+Breakdown!H23+Breakdown!H31+Breakdown!H20</f>
        <v>38868338</v>
      </c>
      <c r="D49" s="32">
        <f t="shared" si="1"/>
        <v>22900121.489827316</v>
      </c>
      <c r="E49" s="44">
        <f t="shared" si="2"/>
        <v>0.43000630190284334</v>
      </c>
      <c r="F49" s="46">
        <f t="shared" si="3"/>
        <v>224.93512690823616</v>
      </c>
      <c r="G49" s="52"/>
    </row>
    <row r="50" spans="1:7" ht="14.25">
      <c r="A50" s="51"/>
      <c r="B50" s="15" t="s">
        <v>34</v>
      </c>
      <c r="C50" s="29">
        <f>Breakdown!H19</f>
        <v>211942</v>
      </c>
      <c r="D50" s="32">
        <f t="shared" si="1"/>
        <v>124870.21052448862</v>
      </c>
      <c r="E50" s="44">
        <f t="shared" si="2"/>
        <v>0.002344746400988188</v>
      </c>
      <c r="F50" s="46">
        <f t="shared" si="3"/>
        <v>1.2265304646467103</v>
      </c>
      <c r="G50" s="52"/>
    </row>
    <row r="51" spans="1:7" s="28" customFormat="1" ht="14.25">
      <c r="A51" s="51"/>
      <c r="B51" s="63" t="s">
        <v>110</v>
      </c>
      <c r="C51" s="29">
        <f>Breakdown!H24+Breakdown!H25+Breakdown!H26+Breakdown!H27+Breakdown!H28</f>
        <v>5766875</v>
      </c>
      <c r="D51" s="32">
        <f t="shared" si="1"/>
        <v>3397679.0599239897</v>
      </c>
      <c r="E51" s="44">
        <f t="shared" si="2"/>
        <v>0.06379981033112245</v>
      </c>
      <c r="F51" s="46">
        <f t="shared" si="3"/>
        <v>33.37350724872605</v>
      </c>
      <c r="G51" s="52"/>
    </row>
    <row r="52" spans="1:7" ht="14.25">
      <c r="A52" s="51"/>
      <c r="B52" s="15" t="s">
        <v>36</v>
      </c>
      <c r="C52" s="29">
        <f>Breakdown!H51</f>
        <v>876959</v>
      </c>
      <c r="D52" s="32">
        <f t="shared" si="1"/>
        <v>516679.35072493897</v>
      </c>
      <c r="E52" s="44">
        <f t="shared" si="2"/>
        <v>0.009701930051920809</v>
      </c>
      <c r="F52" s="46">
        <f t="shared" si="3"/>
        <v>5.075053220910034</v>
      </c>
      <c r="G52" s="52"/>
    </row>
    <row r="53" spans="1:7" ht="14.25">
      <c r="A53" s="51"/>
      <c r="B53" s="15" t="s">
        <v>37</v>
      </c>
      <c r="C53" s="29">
        <f>Breakdown!H52+Breakdown!H34+Breakdown!H35+Breakdown!H36+Breakdown!H37+Breakdown!H39+Breakdown!H40</f>
        <v>571518</v>
      </c>
      <c r="D53" s="32">
        <f t="shared" si="1"/>
        <v>336722.18332626234</v>
      </c>
      <c r="E53" s="44">
        <f t="shared" si="2"/>
        <v>0.006322790072755599</v>
      </c>
      <c r="F53" s="46">
        <f t="shared" si="3"/>
        <v>3.3074342890694557</v>
      </c>
      <c r="G53" s="52"/>
    </row>
    <row r="54" spans="1:7" ht="14.25">
      <c r="A54" s="51"/>
      <c r="B54" s="15" t="s">
        <v>35</v>
      </c>
      <c r="C54" s="29">
        <f>Breakdown!H17</f>
        <v>1901963</v>
      </c>
      <c r="D54" s="32">
        <f t="shared" si="1"/>
        <v>1120582.6132611183</v>
      </c>
      <c r="E54" s="44">
        <f t="shared" si="2"/>
        <v>0.02104170432978219</v>
      </c>
      <c r="F54" s="46">
        <f t="shared" si="3"/>
        <v>11.006858301473285</v>
      </c>
      <c r="G54" s="52"/>
    </row>
    <row r="55" spans="1:7" ht="14.25">
      <c r="A55" s="51"/>
      <c r="B55" s="24" t="s">
        <v>40</v>
      </c>
      <c r="C55" s="29"/>
      <c r="D55" s="32"/>
      <c r="E55" s="44"/>
      <c r="F55" s="46">
        <f t="shared" si="3"/>
        <v>0</v>
      </c>
      <c r="G55" s="52"/>
    </row>
    <row r="56" spans="1:7" ht="14.25">
      <c r="A56" s="51"/>
      <c r="B56" s="15" t="s">
        <v>12</v>
      </c>
      <c r="C56" s="29">
        <f>Breakdown!H50</f>
        <v>619757</v>
      </c>
      <c r="D56" s="32">
        <f aca="true" t="shared" si="4" ref="D56:D61">+C56/C$62*C$27</f>
        <v>365143.23288458865</v>
      </c>
      <c r="E56" s="44">
        <f aca="true" t="shared" si="5" ref="E56:E61">+D56/D$62</f>
        <v>0.006856465425622275</v>
      </c>
      <c r="F56" s="46">
        <f t="shared" si="3"/>
        <v>3.586598414557054</v>
      </c>
      <c r="G56" s="52"/>
    </row>
    <row r="57" spans="1:7" ht="14.25">
      <c r="A57" s="51"/>
      <c r="B57" s="15" t="s">
        <v>30</v>
      </c>
      <c r="C57" s="29">
        <f>Breakdown!H47</f>
        <v>1489227</v>
      </c>
      <c r="D57" s="32">
        <f t="shared" si="4"/>
        <v>877410.2773813242</v>
      </c>
      <c r="E57" s="44">
        <f t="shared" si="5"/>
        <v>0.016475543537875625</v>
      </c>
      <c r="F57" s="46">
        <f t="shared" si="3"/>
        <v>8.618312011184315</v>
      </c>
      <c r="G57" s="52"/>
    </row>
    <row r="58" spans="1:7" ht="14.25">
      <c r="A58" s="51"/>
      <c r="B58" s="15" t="s">
        <v>39</v>
      </c>
      <c r="C58" s="29">
        <f>Breakdown!H48</f>
        <v>390105</v>
      </c>
      <c r="D58" s="32">
        <f t="shared" si="4"/>
        <v>229838.79305024786</v>
      </c>
      <c r="E58" s="44">
        <f t="shared" si="5"/>
        <v>0.004315790616100145</v>
      </c>
      <c r="F58" s="46">
        <f t="shared" si="3"/>
        <v>2.25757833233151</v>
      </c>
      <c r="G58" s="52"/>
    </row>
    <row r="59" spans="1:7" ht="14.25">
      <c r="A59" s="51"/>
      <c r="B59" s="15" t="s">
        <v>13</v>
      </c>
      <c r="C59" s="29">
        <f>Breakdown!H49</f>
        <v>519495</v>
      </c>
      <c r="D59" s="32">
        <f t="shared" si="4"/>
        <v>306071.70837502345</v>
      </c>
      <c r="E59" s="44">
        <f t="shared" si="5"/>
        <v>0.005747251755581049</v>
      </c>
      <c r="F59" s="46">
        <f t="shared" si="3"/>
        <v>3.0063717608196714</v>
      </c>
      <c r="G59" s="59"/>
    </row>
    <row r="60" spans="1:7" ht="14.25">
      <c r="A60" s="51"/>
      <c r="B60" s="15" t="s">
        <v>31</v>
      </c>
      <c r="C60" s="29">
        <f>Breakdown!H46</f>
        <v>1750000</v>
      </c>
      <c r="D60" s="32">
        <f t="shared" si="4"/>
        <v>1031050.3270604933</v>
      </c>
      <c r="E60" s="44">
        <f t="shared" si="5"/>
        <v>0.01936051467726703</v>
      </c>
      <c r="F60" s="46">
        <f t="shared" si="3"/>
        <v>10.12743256707846</v>
      </c>
      <c r="G60" s="52"/>
    </row>
    <row r="61" spans="1:7" ht="14.25">
      <c r="A61" s="51"/>
      <c r="B61" s="15" t="s">
        <v>38</v>
      </c>
      <c r="C61" s="29">
        <f>Breakdown!H43</f>
        <v>3666099</v>
      </c>
      <c r="D61" s="32">
        <f t="shared" si="4"/>
        <v>2159961.470277799</v>
      </c>
      <c r="E61" s="44">
        <f t="shared" si="5"/>
        <v>0.040558607713036564</v>
      </c>
      <c r="F61" s="46">
        <f t="shared" si="3"/>
        <v>21.216097375276444</v>
      </c>
      <c r="G61" s="52"/>
    </row>
    <row r="62" spans="1:7" ht="15" thickBot="1">
      <c r="A62" s="51"/>
      <c r="B62" s="8" t="s">
        <v>14</v>
      </c>
      <c r="C62" s="78">
        <f>SUM(C41:C61)</f>
        <v>90390159</v>
      </c>
      <c r="D62" s="4">
        <f>SUM(D41:D61)</f>
        <v>53255315.999999985</v>
      </c>
      <c r="E62" s="45">
        <f>SUM(E41:E61)</f>
        <v>1</v>
      </c>
      <c r="F62" s="47">
        <f>SUM(F41:F61)</f>
        <v>523.0972800000002</v>
      </c>
      <c r="G62" s="52"/>
    </row>
    <row r="63" spans="1:7" ht="15" thickTop="1">
      <c r="A63" s="51"/>
      <c r="B63" s="15"/>
      <c r="C63" s="29"/>
      <c r="D63" s="25"/>
      <c r="E63" s="15"/>
      <c r="F63" s="15"/>
      <c r="G63" s="52"/>
    </row>
    <row r="64" spans="1:7" ht="14.25">
      <c r="A64" s="51"/>
      <c r="B64" s="15"/>
      <c r="C64" s="79"/>
      <c r="D64" s="15"/>
      <c r="E64" s="15"/>
      <c r="F64" s="15"/>
      <c r="G64" s="52"/>
    </row>
    <row r="65" spans="1:7" ht="42.75">
      <c r="A65" s="53" t="s">
        <v>48</v>
      </c>
      <c r="B65" s="8" t="s">
        <v>41</v>
      </c>
      <c r="C65" s="72" t="s">
        <v>119</v>
      </c>
      <c r="D65" s="33" t="s">
        <v>121</v>
      </c>
      <c r="E65" s="7" t="s">
        <v>49</v>
      </c>
      <c r="F65" s="15"/>
      <c r="G65" s="52"/>
    </row>
    <row r="66" spans="1:7" ht="14.25">
      <c r="A66" s="51"/>
      <c r="B66" s="15" t="s">
        <v>0</v>
      </c>
      <c r="C66" s="80">
        <f>E19</f>
        <v>534.7021599999999</v>
      </c>
      <c r="D66" s="12">
        <f>G19</f>
        <v>523.09728</v>
      </c>
      <c r="E66" s="12">
        <f aca="true" t="shared" si="6" ref="E66:E71">+D66-C66</f>
        <v>-11.60487999999998</v>
      </c>
      <c r="F66" s="15"/>
      <c r="G66" s="52"/>
    </row>
    <row r="67" spans="1:7" ht="14.25">
      <c r="A67" s="51"/>
      <c r="B67" s="15" t="s">
        <v>18</v>
      </c>
      <c r="C67" s="80">
        <f>E20</f>
        <v>338.11096000000003</v>
      </c>
      <c r="D67" s="12">
        <f>G20</f>
        <v>335.13788</v>
      </c>
      <c r="E67" s="12">
        <f t="shared" si="6"/>
        <v>-2.9730800000000386</v>
      </c>
      <c r="F67" s="12"/>
      <c r="G67" s="52"/>
    </row>
    <row r="68" spans="1:7" ht="14.25">
      <c r="A68" s="51"/>
      <c r="B68" s="15" t="s">
        <v>19</v>
      </c>
      <c r="C68" s="80">
        <f>E21</f>
        <v>59.564119999999996</v>
      </c>
      <c r="D68" s="12">
        <f>G21</f>
        <v>51.56756</v>
      </c>
      <c r="E68" s="12">
        <f t="shared" si="6"/>
        <v>-7.996559999999995</v>
      </c>
      <c r="F68" s="15"/>
      <c r="G68" s="52"/>
    </row>
    <row r="69" spans="1:7" ht="15" thickBot="1">
      <c r="A69" s="51"/>
      <c r="B69" s="8" t="s">
        <v>42</v>
      </c>
      <c r="C69" s="81">
        <f>SUM(C66:C68)</f>
        <v>932.37724</v>
      </c>
      <c r="D69" s="5">
        <f>SUM(D66:D68)</f>
        <v>909.8027199999999</v>
      </c>
      <c r="E69" s="5">
        <f t="shared" si="6"/>
        <v>-22.57452000000012</v>
      </c>
      <c r="F69" s="15"/>
      <c r="G69" s="52"/>
    </row>
    <row r="70" spans="1:7" ht="15" thickTop="1">
      <c r="A70" s="51"/>
      <c r="B70" s="15" t="s">
        <v>43</v>
      </c>
      <c r="C70" s="80">
        <f>(C21-2000)*18.95/1000</f>
        <v>1904.854</v>
      </c>
      <c r="D70" s="80">
        <f>(C21-2000)*18.95/1000</f>
        <v>1904.854</v>
      </c>
      <c r="E70" s="12">
        <f t="shared" si="6"/>
        <v>0</v>
      </c>
      <c r="F70" s="15"/>
      <c r="G70" s="52"/>
    </row>
    <row r="71" spans="1:7" ht="14.25">
      <c r="A71" s="51"/>
      <c r="B71" s="15" t="s">
        <v>44</v>
      </c>
      <c r="C71" s="80">
        <f>(C21)*0.5/1000</f>
        <v>51.26</v>
      </c>
      <c r="D71" s="80">
        <f>(C21)*0.5/1000</f>
        <v>51.26</v>
      </c>
      <c r="E71" s="12">
        <f t="shared" si="6"/>
        <v>0</v>
      </c>
      <c r="F71" s="15"/>
      <c r="G71" s="52"/>
    </row>
    <row r="72" spans="1:7" ht="15" thickBot="1">
      <c r="A72" s="51"/>
      <c r="B72" s="8" t="s">
        <v>45</v>
      </c>
      <c r="C72" s="82">
        <f>+C70+C71</f>
        <v>1956.114</v>
      </c>
      <c r="D72" s="5">
        <f>SUM(D70:D71)</f>
        <v>1956.114</v>
      </c>
      <c r="E72" s="5">
        <f>SUM(E70:E71)</f>
        <v>0</v>
      </c>
      <c r="F72" s="15"/>
      <c r="G72" s="52"/>
    </row>
    <row r="73" spans="1:7" ht="15" thickTop="1">
      <c r="A73" s="51"/>
      <c r="B73" s="15" t="s">
        <v>46</v>
      </c>
      <c r="C73" s="83">
        <v>0</v>
      </c>
      <c r="D73" s="6">
        <v>0</v>
      </c>
      <c r="E73" s="12">
        <f>+D73-C73</f>
        <v>0</v>
      </c>
      <c r="F73" s="15"/>
      <c r="G73" s="52"/>
    </row>
    <row r="74" spans="1:7" ht="15" thickBot="1">
      <c r="A74" s="51"/>
      <c r="B74" s="8" t="s">
        <v>52</v>
      </c>
      <c r="C74" s="82">
        <f>+C69+C72+C73</f>
        <v>2888.4912400000003</v>
      </c>
      <c r="D74" s="11">
        <f>+D69+D72+D73</f>
        <v>2865.91672</v>
      </c>
      <c r="E74" s="5">
        <f>+E69+E72+E73</f>
        <v>-22.57452000000012</v>
      </c>
      <c r="F74" s="15"/>
      <c r="G74" s="52"/>
    </row>
    <row r="75" spans="1:7" ht="16.5" thickBot="1" thickTop="1">
      <c r="A75" s="60"/>
      <c r="B75" s="61"/>
      <c r="C75" s="84"/>
      <c r="D75" s="61"/>
      <c r="E75" s="61"/>
      <c r="F75" s="61"/>
      <c r="G75" s="62"/>
    </row>
    <row r="76" spans="1:7" s="28" customFormat="1" ht="15">
      <c r="A76" s="15"/>
      <c r="B76" s="15"/>
      <c r="C76" s="63"/>
      <c r="D76" s="15"/>
      <c r="E76" s="15"/>
      <c r="F76" s="15"/>
      <c r="G76" s="15"/>
    </row>
    <row r="77" ht="15"/>
    <row r="78" ht="15"/>
  </sheetData>
  <sheetProtection/>
  <mergeCells count="1">
    <mergeCell ref="D12:F15"/>
  </mergeCells>
  <dataValidations count="1">
    <dataValidation type="list" allowBlank="1" showInputMessage="1" showErrorMessage="1" sqref="C15">
      <formula1>'2018 Millage Rate'!#REF!</formula1>
    </dataValidation>
  </dataValidations>
  <printOptions/>
  <pageMargins left="0.7" right="0.7" top="0.41" bottom="0.49" header="0.3" footer="0.3"/>
  <pageSetup fitToHeight="1" fitToWidth="1" horizontalDpi="600" verticalDpi="600" orientation="portrait" scale="64" r:id="rId4"/>
  <headerFooter>
    <oddFooter>&amp;L&amp;8&amp;Z&amp;F &amp;A&amp;R&amp;D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28">
      <selection activeCell="J41" sqref="J41"/>
    </sheetView>
  </sheetViews>
  <sheetFormatPr defaultColWidth="9.140625" defaultRowHeight="15"/>
  <cols>
    <col min="1" max="1" width="24.8515625" style="0" customWidth="1"/>
    <col min="2" max="2" width="11.57421875" style="64" bestFit="1" customWidth="1"/>
    <col min="3" max="3" width="1.421875" style="0" customWidth="1"/>
    <col min="4" max="4" width="13.57421875" style="0" customWidth="1"/>
    <col min="5" max="5" width="1.8515625" style="0" customWidth="1"/>
    <col min="6" max="6" width="10.57421875" style="0" bestFit="1" customWidth="1"/>
    <col min="8" max="8" width="11.57421875" style="64" bestFit="1" customWidth="1"/>
  </cols>
  <sheetData>
    <row r="1" ht="14.25">
      <c r="A1" t="s">
        <v>126</v>
      </c>
    </row>
    <row r="3" spans="2:8" ht="14.25">
      <c r="B3" s="86" t="s">
        <v>97</v>
      </c>
      <c r="D3" s="37" t="s">
        <v>92</v>
      </c>
      <c r="E3" s="37"/>
      <c r="F3" s="40">
        <v>0.03</v>
      </c>
      <c r="H3" s="64" t="s">
        <v>94</v>
      </c>
    </row>
    <row r="4" spans="1:8" ht="14.25">
      <c r="A4" t="s">
        <v>56</v>
      </c>
      <c r="B4" s="85">
        <v>254807</v>
      </c>
      <c r="D4" s="36">
        <v>0</v>
      </c>
      <c r="E4" s="36"/>
      <c r="F4" s="36">
        <v>0</v>
      </c>
      <c r="H4" s="65">
        <f aca="true" t="shared" si="0" ref="H4:H52">B4+D4+F4</f>
        <v>254807</v>
      </c>
    </row>
    <row r="5" spans="1:8" ht="14.25">
      <c r="A5" t="s">
        <v>57</v>
      </c>
      <c r="B5" s="85">
        <v>138322</v>
      </c>
      <c r="D5" s="36">
        <v>0</v>
      </c>
      <c r="E5" s="36"/>
      <c r="F5" s="36">
        <v>3364</v>
      </c>
      <c r="H5" s="65">
        <f t="shared" si="0"/>
        <v>141686</v>
      </c>
    </row>
    <row r="6" spans="1:8" ht="14.25">
      <c r="A6" t="s">
        <v>58</v>
      </c>
      <c r="B6" s="85">
        <v>636876</v>
      </c>
      <c r="D6" s="36">
        <v>0</v>
      </c>
      <c r="E6" s="36"/>
      <c r="F6" s="36">
        <v>15789</v>
      </c>
      <c r="H6" s="65">
        <f t="shared" si="0"/>
        <v>652665</v>
      </c>
    </row>
    <row r="7" spans="1:8" ht="14.25">
      <c r="A7" t="s">
        <v>111</v>
      </c>
      <c r="B7" s="85">
        <v>279538</v>
      </c>
      <c r="D7" s="36">
        <v>0</v>
      </c>
      <c r="E7" s="36"/>
      <c r="F7" s="36">
        <v>6168</v>
      </c>
      <c r="H7" s="65">
        <f t="shared" si="0"/>
        <v>285706</v>
      </c>
    </row>
    <row r="8" spans="1:8" s="28" customFormat="1" ht="14.25">
      <c r="A8" s="28" t="s">
        <v>112</v>
      </c>
      <c r="B8" s="85">
        <v>16607</v>
      </c>
      <c r="D8" s="36"/>
      <c r="E8" s="36"/>
      <c r="F8" s="36">
        <v>0</v>
      </c>
      <c r="H8" s="65">
        <f t="shared" si="0"/>
        <v>16607</v>
      </c>
    </row>
    <row r="9" spans="1:8" ht="14.25">
      <c r="A9" t="s">
        <v>59</v>
      </c>
      <c r="B9" s="85">
        <v>760053</v>
      </c>
      <c r="D9" s="36">
        <v>0</v>
      </c>
      <c r="E9" s="36"/>
      <c r="F9" s="36">
        <v>13210</v>
      </c>
      <c r="H9" s="65">
        <f t="shared" si="0"/>
        <v>773263</v>
      </c>
    </row>
    <row r="10" spans="1:8" ht="14.25">
      <c r="A10" t="s">
        <v>60</v>
      </c>
      <c r="B10" s="85">
        <v>768893</v>
      </c>
      <c r="D10" s="36">
        <v>0</v>
      </c>
      <c r="E10" s="36"/>
      <c r="F10" s="36">
        <v>15542</v>
      </c>
      <c r="H10" s="65">
        <f t="shared" si="0"/>
        <v>784435</v>
      </c>
    </row>
    <row r="11" spans="1:8" ht="14.25">
      <c r="A11" t="s">
        <v>61</v>
      </c>
      <c r="B11" s="85">
        <v>250916</v>
      </c>
      <c r="D11" s="36">
        <v>0</v>
      </c>
      <c r="E11" s="36"/>
      <c r="F11" s="36">
        <v>6450</v>
      </c>
      <c r="H11" s="65">
        <f t="shared" si="0"/>
        <v>257366</v>
      </c>
    </row>
    <row r="12" spans="1:8" ht="14.25">
      <c r="A12" t="s">
        <v>62</v>
      </c>
      <c r="B12" s="85">
        <v>251680</v>
      </c>
      <c r="D12" s="36">
        <v>0</v>
      </c>
      <c r="E12" s="36"/>
      <c r="F12" s="36">
        <v>0</v>
      </c>
      <c r="H12" s="65">
        <f t="shared" si="0"/>
        <v>251680</v>
      </c>
    </row>
    <row r="13" spans="1:8" ht="14.25">
      <c r="A13" t="s">
        <v>63</v>
      </c>
      <c r="B13" s="85">
        <v>2689112</v>
      </c>
      <c r="D13" s="36">
        <v>0</v>
      </c>
      <c r="E13" s="36"/>
      <c r="F13" s="36">
        <v>37149</v>
      </c>
      <c r="H13" s="65">
        <f t="shared" si="0"/>
        <v>2726261</v>
      </c>
    </row>
    <row r="14" spans="1:8" ht="14.25">
      <c r="A14" t="s">
        <v>64</v>
      </c>
      <c r="B14" s="85">
        <v>431896</v>
      </c>
      <c r="D14" s="36">
        <v>0</v>
      </c>
      <c r="E14" s="36"/>
      <c r="F14" s="36">
        <v>11391</v>
      </c>
      <c r="H14" s="65">
        <f t="shared" si="0"/>
        <v>443287</v>
      </c>
    </row>
    <row r="15" spans="1:8" ht="14.25">
      <c r="A15" t="s">
        <v>65</v>
      </c>
      <c r="B15" s="85">
        <f>280884+1757447</f>
        <v>2038331</v>
      </c>
      <c r="D15" s="36">
        <v>0</v>
      </c>
      <c r="E15" s="36"/>
      <c r="F15" s="36">
        <f>3627+34641</f>
        <v>38268</v>
      </c>
      <c r="H15" s="65">
        <f t="shared" si="0"/>
        <v>2076599</v>
      </c>
    </row>
    <row r="16" spans="1:8" ht="14.25">
      <c r="A16" t="s">
        <v>66</v>
      </c>
      <c r="B16" s="85">
        <v>2566638</v>
      </c>
      <c r="D16" s="36">
        <v>0</v>
      </c>
      <c r="E16" s="36"/>
      <c r="F16" s="36">
        <v>44644</v>
      </c>
      <c r="H16" s="65">
        <f t="shared" si="0"/>
        <v>2611282</v>
      </c>
    </row>
    <row r="17" spans="1:8" ht="14.25">
      <c r="A17" t="s">
        <v>67</v>
      </c>
      <c r="B17" s="85">
        <v>1870011</v>
      </c>
      <c r="D17" s="36">
        <v>0</v>
      </c>
      <c r="E17" s="36"/>
      <c r="F17" s="36">
        <v>31952</v>
      </c>
      <c r="H17" s="65">
        <f t="shared" si="0"/>
        <v>1901963</v>
      </c>
    </row>
    <row r="18" spans="1:8" ht="14.25">
      <c r="A18" t="s">
        <v>68</v>
      </c>
      <c r="B18" s="85">
        <v>859733</v>
      </c>
      <c r="D18" s="36">
        <v>0</v>
      </c>
      <c r="E18" s="36"/>
      <c r="F18" s="36">
        <v>0</v>
      </c>
      <c r="H18" s="65">
        <f t="shared" si="0"/>
        <v>859733</v>
      </c>
    </row>
    <row r="19" spans="1:8" ht="14.25">
      <c r="A19" t="s">
        <v>69</v>
      </c>
      <c r="B19" s="85">
        <v>211942</v>
      </c>
      <c r="D19" s="36">
        <v>0</v>
      </c>
      <c r="E19" s="36"/>
      <c r="F19" s="36">
        <v>0</v>
      </c>
      <c r="H19" s="65">
        <f t="shared" si="0"/>
        <v>211942</v>
      </c>
    </row>
    <row r="20" spans="1:8" s="28" customFormat="1" ht="14.25">
      <c r="A20" t="s">
        <v>70</v>
      </c>
      <c r="B20" s="85">
        <v>276205</v>
      </c>
      <c r="C20"/>
      <c r="D20" s="36">
        <v>0</v>
      </c>
      <c r="E20" s="36"/>
      <c r="F20" s="36">
        <v>4967</v>
      </c>
      <c r="G20"/>
      <c r="H20" s="65">
        <f>B20+D20+F20</f>
        <v>281172</v>
      </c>
    </row>
    <row r="21" spans="1:8" s="28" customFormat="1" ht="14.25">
      <c r="A21" s="28" t="s">
        <v>98</v>
      </c>
      <c r="B21" s="85">
        <v>441863</v>
      </c>
      <c r="D21" s="36">
        <v>0</v>
      </c>
      <c r="E21" s="36"/>
      <c r="F21" s="36">
        <v>9269</v>
      </c>
      <c r="H21" s="65">
        <f t="shared" si="0"/>
        <v>451132</v>
      </c>
    </row>
    <row r="22" spans="1:8" s="28" customFormat="1" ht="14.25">
      <c r="A22" s="28" t="s">
        <v>99</v>
      </c>
      <c r="B22" s="85">
        <v>423426</v>
      </c>
      <c r="D22" s="36">
        <v>0</v>
      </c>
      <c r="E22" s="36"/>
      <c r="F22" s="36">
        <v>5432</v>
      </c>
      <c r="H22" s="65">
        <f t="shared" si="0"/>
        <v>428858</v>
      </c>
    </row>
    <row r="23" spans="1:8" s="28" customFormat="1" ht="14.25">
      <c r="A23" s="28" t="s">
        <v>100</v>
      </c>
      <c r="B23" s="85">
        <v>419174</v>
      </c>
      <c r="D23" s="36">
        <v>0</v>
      </c>
      <c r="E23" s="36"/>
      <c r="F23" s="36">
        <v>8182</v>
      </c>
      <c r="H23" s="65">
        <f t="shared" si="0"/>
        <v>427356</v>
      </c>
    </row>
    <row r="24" spans="1:8" s="28" customFormat="1" ht="14.25">
      <c r="A24" s="28" t="s">
        <v>101</v>
      </c>
      <c r="B24" s="85">
        <v>3605456</v>
      </c>
      <c r="D24" s="36">
        <v>0</v>
      </c>
      <c r="E24" s="36"/>
      <c r="F24" s="36">
        <v>61917</v>
      </c>
      <c r="H24" s="65">
        <f t="shared" si="0"/>
        <v>3667373</v>
      </c>
    </row>
    <row r="25" spans="1:8" s="28" customFormat="1" ht="14.25">
      <c r="A25" s="28" t="s">
        <v>102</v>
      </c>
      <c r="B25" s="85">
        <v>505754</v>
      </c>
      <c r="D25" s="36">
        <v>0</v>
      </c>
      <c r="E25" s="36"/>
      <c r="F25" s="36">
        <v>7874</v>
      </c>
      <c r="H25" s="65">
        <f t="shared" si="0"/>
        <v>513628</v>
      </c>
    </row>
    <row r="26" spans="1:8" s="28" customFormat="1" ht="14.25">
      <c r="A26" s="28" t="s">
        <v>103</v>
      </c>
      <c r="B26" s="85">
        <v>1048301</v>
      </c>
      <c r="D26" s="36">
        <v>0</v>
      </c>
      <c r="E26" s="36"/>
      <c r="F26" s="36">
        <v>20411</v>
      </c>
      <c r="H26" s="65">
        <f t="shared" si="0"/>
        <v>1068712</v>
      </c>
    </row>
    <row r="27" spans="1:8" s="28" customFormat="1" ht="14.25">
      <c r="A27" s="28" t="s">
        <v>104</v>
      </c>
      <c r="B27" s="85">
        <f>165000+264822</f>
        <v>429822</v>
      </c>
      <c r="D27" s="36">
        <v>0</v>
      </c>
      <c r="E27" s="36"/>
      <c r="F27" s="36">
        <v>3048</v>
      </c>
      <c r="H27" s="65">
        <f t="shared" si="0"/>
        <v>432870</v>
      </c>
    </row>
    <row r="28" spans="1:8" s="28" customFormat="1" ht="14.25">
      <c r="A28" s="28" t="s">
        <v>105</v>
      </c>
      <c r="B28" s="85">
        <f>14561+68098</f>
        <v>82659</v>
      </c>
      <c r="D28" s="36">
        <v>0</v>
      </c>
      <c r="E28" s="36"/>
      <c r="F28" s="36">
        <v>1633</v>
      </c>
      <c r="H28" s="65">
        <f t="shared" si="0"/>
        <v>84292</v>
      </c>
    </row>
    <row r="29" spans="1:8" s="28" customFormat="1" ht="14.25">
      <c r="A29" s="28" t="s">
        <v>106</v>
      </c>
      <c r="B29" s="85">
        <v>967677</v>
      </c>
      <c r="D29" s="36">
        <v>0</v>
      </c>
      <c r="E29" s="36"/>
      <c r="F29" s="36">
        <v>18563</v>
      </c>
      <c r="H29" s="65">
        <f t="shared" si="0"/>
        <v>986240</v>
      </c>
    </row>
    <row r="30" spans="1:8" s="28" customFormat="1" ht="14.25">
      <c r="A30" s="28" t="s">
        <v>107</v>
      </c>
      <c r="B30" s="85">
        <v>1006139</v>
      </c>
      <c r="D30" s="36">
        <v>0</v>
      </c>
      <c r="E30" s="36"/>
      <c r="F30" s="36">
        <v>17742</v>
      </c>
      <c r="H30" s="65">
        <f t="shared" si="0"/>
        <v>1023881</v>
      </c>
    </row>
    <row r="31" spans="1:8" ht="14.25">
      <c r="A31" s="28" t="s">
        <v>108</v>
      </c>
      <c r="B31" s="85">
        <v>1216683</v>
      </c>
      <c r="C31" s="28"/>
      <c r="D31" s="36">
        <v>0</v>
      </c>
      <c r="E31" s="36"/>
      <c r="F31" s="36">
        <v>28174</v>
      </c>
      <c r="G31" s="28"/>
      <c r="H31" s="65">
        <f t="shared" si="0"/>
        <v>1244857</v>
      </c>
    </row>
    <row r="32" spans="1:8" ht="14.25">
      <c r="A32" t="s">
        <v>71</v>
      </c>
      <c r="B32" s="85">
        <v>204201</v>
      </c>
      <c r="D32" s="36">
        <v>0</v>
      </c>
      <c r="E32" s="36"/>
      <c r="F32" s="36">
        <v>0</v>
      </c>
      <c r="H32" s="65">
        <f t="shared" si="0"/>
        <v>204201</v>
      </c>
    </row>
    <row r="33" spans="1:8" ht="14.25">
      <c r="A33" t="s">
        <v>72</v>
      </c>
      <c r="B33" s="85">
        <v>4929</v>
      </c>
      <c r="D33" s="36">
        <v>0</v>
      </c>
      <c r="E33" s="36"/>
      <c r="F33" s="36">
        <v>0</v>
      </c>
      <c r="H33" s="65">
        <f t="shared" si="0"/>
        <v>4929</v>
      </c>
    </row>
    <row r="34" spans="1:8" ht="14.25">
      <c r="A34" t="s">
        <v>73</v>
      </c>
      <c r="B34" s="85">
        <v>97000</v>
      </c>
      <c r="D34" s="36">
        <v>0</v>
      </c>
      <c r="E34" s="36"/>
      <c r="F34" s="36">
        <v>0</v>
      </c>
      <c r="H34" s="65">
        <f t="shared" si="0"/>
        <v>97000</v>
      </c>
    </row>
    <row r="35" spans="1:8" ht="14.25">
      <c r="A35" t="s">
        <v>74</v>
      </c>
      <c r="B35" s="85">
        <v>12000</v>
      </c>
      <c r="D35" s="36">
        <v>0</v>
      </c>
      <c r="E35" s="36"/>
      <c r="F35" s="36">
        <v>0</v>
      </c>
      <c r="H35" s="65">
        <f t="shared" si="0"/>
        <v>12000</v>
      </c>
    </row>
    <row r="36" spans="1:8" ht="14.25">
      <c r="A36" t="s">
        <v>75</v>
      </c>
      <c r="B36" s="85">
        <v>36300</v>
      </c>
      <c r="D36" s="36">
        <v>0</v>
      </c>
      <c r="E36" s="36"/>
      <c r="F36" s="36">
        <v>0</v>
      </c>
      <c r="H36" s="65">
        <f t="shared" si="0"/>
        <v>36300</v>
      </c>
    </row>
    <row r="37" spans="1:8" ht="14.25">
      <c r="A37" t="s">
        <v>76</v>
      </c>
      <c r="B37" s="85">
        <v>98943</v>
      </c>
      <c r="D37" s="36">
        <v>0</v>
      </c>
      <c r="E37" s="36"/>
      <c r="F37" s="36">
        <v>0</v>
      </c>
      <c r="H37" s="65">
        <f t="shared" si="0"/>
        <v>98943</v>
      </c>
    </row>
    <row r="38" spans="1:8" ht="14.25">
      <c r="A38" t="s">
        <v>77</v>
      </c>
      <c r="B38" s="85">
        <v>2254116</v>
      </c>
      <c r="D38" s="36">
        <v>0</v>
      </c>
      <c r="E38" s="36"/>
      <c r="F38" s="36">
        <v>0</v>
      </c>
      <c r="H38" s="65">
        <f t="shared" si="0"/>
        <v>2254116</v>
      </c>
    </row>
    <row r="39" spans="1:8" ht="14.25">
      <c r="A39" t="s">
        <v>78</v>
      </c>
      <c r="B39" s="85">
        <v>40000</v>
      </c>
      <c r="D39" s="36">
        <v>0</v>
      </c>
      <c r="E39" s="36"/>
      <c r="F39" s="36">
        <v>0</v>
      </c>
      <c r="H39" s="65">
        <f t="shared" si="0"/>
        <v>40000</v>
      </c>
    </row>
    <row r="40" spans="1:8" ht="14.25">
      <c r="A40" t="s">
        <v>79</v>
      </c>
      <c r="B40" s="85">
        <v>38206</v>
      </c>
      <c r="D40" s="36">
        <v>0</v>
      </c>
      <c r="E40" s="36"/>
      <c r="F40" s="36">
        <v>0</v>
      </c>
      <c r="H40" s="65">
        <f t="shared" si="0"/>
        <v>38206</v>
      </c>
    </row>
    <row r="41" spans="1:8" ht="14.25">
      <c r="A41" t="s">
        <v>80</v>
      </c>
      <c r="B41" s="85">
        <v>13000</v>
      </c>
      <c r="D41" s="36">
        <v>0</v>
      </c>
      <c r="E41" s="36"/>
      <c r="F41" s="36">
        <v>0</v>
      </c>
      <c r="H41" s="65">
        <f t="shared" si="0"/>
        <v>13000</v>
      </c>
    </row>
    <row r="42" spans="1:8" ht="14.25">
      <c r="A42" t="s">
        <v>81</v>
      </c>
      <c r="B42" s="85">
        <v>637187</v>
      </c>
      <c r="D42" s="36">
        <v>0</v>
      </c>
      <c r="E42" s="36"/>
      <c r="F42" s="36">
        <v>0</v>
      </c>
      <c r="H42" s="65">
        <f t="shared" si="0"/>
        <v>637187</v>
      </c>
    </row>
    <row r="43" spans="1:8" ht="14.25">
      <c r="A43" t="s">
        <v>82</v>
      </c>
      <c r="B43" s="85">
        <v>3666099</v>
      </c>
      <c r="D43" s="36">
        <v>0</v>
      </c>
      <c r="E43" s="36"/>
      <c r="F43" s="36">
        <v>0</v>
      </c>
      <c r="H43" s="65">
        <f t="shared" si="0"/>
        <v>3666099</v>
      </c>
    </row>
    <row r="44" spans="1:8" ht="14.25">
      <c r="A44" t="s">
        <v>83</v>
      </c>
      <c r="B44" s="85">
        <v>15364599</v>
      </c>
      <c r="D44" s="36">
        <v>0</v>
      </c>
      <c r="E44" s="36"/>
      <c r="F44" s="36">
        <f>36318+10805+6205+72939+58055+8011+38886+1416+13023+8702+1</f>
        <v>254361</v>
      </c>
      <c r="H44" s="65">
        <f t="shared" si="0"/>
        <v>15618960</v>
      </c>
    </row>
    <row r="45" spans="1:8" ht="14.25">
      <c r="A45" t="s">
        <v>84</v>
      </c>
      <c r="B45" s="85">
        <v>36147181</v>
      </c>
      <c r="D45" s="36">
        <v>0</v>
      </c>
      <c r="E45" s="36"/>
      <c r="F45" s="36">
        <f>26450+33120+64695+15013+216124+17790+51322+60402+6034+5758+271063+1</f>
        <v>767772</v>
      </c>
      <c r="H45" s="65">
        <f t="shared" si="0"/>
        <v>36914953</v>
      </c>
    </row>
    <row r="46" spans="1:8" ht="14.25">
      <c r="A46" t="s">
        <v>85</v>
      </c>
      <c r="B46" s="85">
        <v>1750000</v>
      </c>
      <c r="D46" s="36">
        <v>0</v>
      </c>
      <c r="E46" s="36"/>
      <c r="F46" s="36">
        <v>0</v>
      </c>
      <c r="H46" s="65">
        <f t="shared" si="0"/>
        <v>1750000</v>
      </c>
    </row>
    <row r="47" spans="1:8" ht="14.25">
      <c r="A47" t="s">
        <v>86</v>
      </c>
      <c r="B47" s="85">
        <v>1414392</v>
      </c>
      <c r="D47" s="36">
        <v>0</v>
      </c>
      <c r="E47" s="36"/>
      <c r="F47" s="36">
        <v>74835</v>
      </c>
      <c r="H47" s="65">
        <f t="shared" si="0"/>
        <v>1489227</v>
      </c>
    </row>
    <row r="48" spans="1:8" ht="14.25">
      <c r="A48" t="s">
        <v>87</v>
      </c>
      <c r="B48" s="85">
        <v>370818</v>
      </c>
      <c r="D48" s="36">
        <v>0</v>
      </c>
      <c r="E48" s="36"/>
      <c r="F48" s="36">
        <v>19287</v>
      </c>
      <c r="H48" s="65">
        <f t="shared" si="0"/>
        <v>390105</v>
      </c>
    </row>
    <row r="49" spans="1:8" ht="14.25">
      <c r="A49" t="s">
        <v>88</v>
      </c>
      <c r="B49" s="85">
        <v>498564</v>
      </c>
      <c r="D49" s="36">
        <v>0</v>
      </c>
      <c r="E49" s="36"/>
      <c r="F49" s="36">
        <v>20931</v>
      </c>
      <c r="H49" s="65">
        <f t="shared" si="0"/>
        <v>519495</v>
      </c>
    </row>
    <row r="50" spans="1:8" ht="14.25">
      <c r="A50" t="s">
        <v>89</v>
      </c>
      <c r="B50" s="85">
        <v>595399</v>
      </c>
      <c r="D50" s="36">
        <v>0</v>
      </c>
      <c r="E50" s="36"/>
      <c r="F50" s="36">
        <v>24358</v>
      </c>
      <c r="H50" s="65">
        <f t="shared" si="0"/>
        <v>619757</v>
      </c>
    </row>
    <row r="51" spans="1:8" ht="14.25">
      <c r="A51" t="s">
        <v>90</v>
      </c>
      <c r="B51" s="85">
        <v>876959</v>
      </c>
      <c r="D51" s="36">
        <v>0</v>
      </c>
      <c r="E51" s="36"/>
      <c r="F51" s="36">
        <v>0</v>
      </c>
      <c r="H51" s="65">
        <f t="shared" si="0"/>
        <v>876959</v>
      </c>
    </row>
    <row r="52" spans="1:8" ht="14.25">
      <c r="A52" t="s">
        <v>91</v>
      </c>
      <c r="B52" s="85">
        <v>223534</v>
      </c>
      <c r="D52" s="36">
        <v>0</v>
      </c>
      <c r="E52" s="36"/>
      <c r="F52" s="36">
        <v>25535</v>
      </c>
      <c r="H52" s="65">
        <f t="shared" si="0"/>
        <v>249069</v>
      </c>
    </row>
    <row r="53" spans="1:8" ht="15" thickBot="1">
      <c r="A53" s="38" t="s">
        <v>93</v>
      </c>
      <c r="B53" s="66">
        <f aca="true" t="shared" si="1" ref="B53:H53">SUM(B4:B52)</f>
        <v>88791941</v>
      </c>
      <c r="C53" s="39">
        <f t="shared" si="1"/>
        <v>0</v>
      </c>
      <c r="D53" s="39">
        <f t="shared" si="1"/>
        <v>0</v>
      </c>
      <c r="E53" s="39">
        <f t="shared" si="1"/>
        <v>0</v>
      </c>
      <c r="F53" s="39">
        <f t="shared" si="1"/>
        <v>1598218</v>
      </c>
      <c r="G53" s="39">
        <f t="shared" si="1"/>
        <v>0</v>
      </c>
      <c r="H53" s="66">
        <f t="shared" si="1"/>
        <v>90390159</v>
      </c>
    </row>
    <row r="54" spans="2:6" ht="15" thickTop="1">
      <c r="B54" s="85"/>
      <c r="D54" s="36"/>
      <c r="E54" s="36"/>
      <c r="F54" s="36"/>
    </row>
    <row r="55" spans="2:6" ht="14.25">
      <c r="B55" s="85">
        <f>88712092</f>
        <v>88712092</v>
      </c>
      <c r="D55" s="36"/>
      <c r="E55" s="36"/>
      <c r="F55" s="36"/>
    </row>
    <row r="56" spans="2:6" ht="14.25">
      <c r="B56" s="85">
        <f>B55-B53</f>
        <v>-79849</v>
      </c>
      <c r="D56" s="36"/>
      <c r="E56" s="36"/>
      <c r="F56" s="36"/>
    </row>
    <row r="57" spans="2:6" ht="14.25">
      <c r="B57" s="85"/>
      <c r="D57" s="36"/>
      <c r="E57" s="36"/>
      <c r="F57" s="36"/>
    </row>
    <row r="58" spans="2:6" ht="14.25">
      <c r="B58" s="85"/>
      <c r="D58" s="36"/>
      <c r="E58" s="36"/>
      <c r="F58" s="36"/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jfunk</dc:creator>
  <cp:keywords/>
  <dc:description/>
  <cp:lastModifiedBy>Kristi Bosch</cp:lastModifiedBy>
  <cp:lastPrinted>2017-05-18T16:04:17Z</cp:lastPrinted>
  <dcterms:created xsi:type="dcterms:W3CDTF">2012-01-23T20:17:38Z</dcterms:created>
  <dcterms:modified xsi:type="dcterms:W3CDTF">2018-07-11T14:46:50Z</dcterms:modified>
  <cp:category/>
  <cp:version/>
  <cp:contentType/>
  <cp:contentStatus/>
</cp:coreProperties>
</file>